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ConOpsCost">Sheet1!$C$17</definedName>
    <definedName name="ConveyerMaintCost">Sheet1!$C$16</definedName>
    <definedName name="CostOfCapital">Sheet1!$C$8</definedName>
    <definedName name="DamageReduction">Sheet1!$C$13</definedName>
    <definedName name="Inflation">Sheet1!$C$9</definedName>
    <definedName name="LifeOfAsset">Sheet1!$C$6</definedName>
    <definedName name="ProductivityImp">Sheet1!$C$12</definedName>
    <definedName name="SalvageValue">Sheet1!$C$7</definedName>
    <definedName name="WHDamages">Sheet1!$C$14</definedName>
    <definedName name="WHManpowerCost">Sheet1!$C$15</definedName>
  </definedNames>
  <calcPr calcId="152511"/>
</workbook>
</file>

<file path=xl/calcChain.xml><?xml version="1.0" encoding="utf-8"?>
<calcChain xmlns="http://schemas.openxmlformats.org/spreadsheetml/2006/main">
  <c r="N15" i="1" l="1"/>
  <c r="Y18" i="1" l="1"/>
  <c r="X18" i="1"/>
  <c r="W18" i="1"/>
  <c r="V18" i="1"/>
  <c r="U18" i="1"/>
  <c r="T18" i="1"/>
  <c r="S18" i="1"/>
  <c r="R18" i="1"/>
  <c r="Q18" i="1"/>
  <c r="P18" i="1"/>
  <c r="Q26" i="1" l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P26" i="1"/>
  <c r="Z28" i="1"/>
  <c r="AA28" i="1"/>
  <c r="AB28" i="1"/>
  <c r="AC28" i="1"/>
  <c r="AD28" i="1"/>
  <c r="AE28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Z30" i="1"/>
  <c r="AA30" i="1"/>
  <c r="AB30" i="1"/>
  <c r="AC30" i="1"/>
  <c r="AD30" i="1"/>
  <c r="AE30" i="1"/>
  <c r="Z31" i="1"/>
  <c r="AA31" i="1"/>
  <c r="AB31" i="1"/>
  <c r="AC31" i="1"/>
  <c r="AD31" i="1"/>
  <c r="AE31" i="1"/>
  <c r="P31" i="1"/>
  <c r="P30" i="1"/>
  <c r="P29" i="1"/>
  <c r="P28" i="1"/>
  <c r="P14" i="1"/>
  <c r="P13" i="1"/>
  <c r="P12" i="1"/>
  <c r="P11" i="1"/>
  <c r="Q27" i="1"/>
  <c r="R27" i="1"/>
  <c r="Z27" i="1"/>
  <c r="AA27" i="1"/>
  <c r="AB27" i="1"/>
  <c r="AC27" i="1"/>
  <c r="AD27" i="1"/>
  <c r="AE27" i="1"/>
  <c r="P27" i="1"/>
  <c r="Z22" i="1"/>
  <c r="AA22" i="1"/>
  <c r="AB22" i="1"/>
  <c r="AC22" i="1"/>
  <c r="AD22" i="1"/>
  <c r="AE22" i="1"/>
  <c r="P22" i="1"/>
  <c r="AE21" i="1"/>
  <c r="AD21" i="1"/>
  <c r="AC21" i="1"/>
  <c r="AB21" i="1"/>
  <c r="AA21" i="1"/>
  <c r="Z21" i="1"/>
  <c r="P21" i="1"/>
  <c r="Z20" i="1"/>
  <c r="AA20" i="1"/>
  <c r="AB20" i="1"/>
  <c r="AC20" i="1"/>
  <c r="AD20" i="1"/>
  <c r="AE20" i="1"/>
  <c r="Z18" i="1"/>
  <c r="AA18" i="1"/>
  <c r="AB18" i="1"/>
  <c r="AC18" i="1"/>
  <c r="AD18" i="1"/>
  <c r="AE18" i="1"/>
  <c r="AE12" i="1"/>
  <c r="AE15" i="1" s="1"/>
  <c r="Q6" i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Z14" i="1"/>
  <c r="AA14" i="1"/>
  <c r="AB14" i="1"/>
  <c r="AC14" i="1"/>
  <c r="AD14" i="1"/>
  <c r="Z13" i="1"/>
  <c r="AA13" i="1"/>
  <c r="AB13" i="1"/>
  <c r="AC13" i="1"/>
  <c r="AD13" i="1"/>
  <c r="Z11" i="1"/>
  <c r="AA11" i="1"/>
  <c r="AB11" i="1"/>
  <c r="AC11" i="1"/>
  <c r="AD11" i="1"/>
  <c r="Q10" i="1"/>
  <c r="R10" i="1"/>
  <c r="S10" i="1"/>
  <c r="T10" i="1"/>
  <c r="Z10" i="1"/>
  <c r="AA10" i="1"/>
  <c r="AB10" i="1"/>
  <c r="AC10" i="1"/>
  <c r="AD10" i="1"/>
  <c r="P10" i="1"/>
  <c r="Q12" i="1"/>
  <c r="P32" i="1" l="1"/>
  <c r="P33" i="1" s="1"/>
  <c r="AB32" i="1"/>
  <c r="AB33" i="1" s="1"/>
  <c r="AC23" i="1"/>
  <c r="AC24" i="1" s="1"/>
  <c r="AE32" i="1"/>
  <c r="AE33" i="1" s="1"/>
  <c r="AA32" i="1"/>
  <c r="AA33" i="1" s="1"/>
  <c r="Z23" i="1"/>
  <c r="Z24" i="1" s="1"/>
  <c r="AD23" i="1"/>
  <c r="AD24" i="1" s="1"/>
  <c r="P23" i="1"/>
  <c r="P24" i="1" s="1"/>
  <c r="AB23" i="1"/>
  <c r="AB24" i="1" s="1"/>
  <c r="AA23" i="1"/>
  <c r="AA24" i="1" s="1"/>
  <c r="AE23" i="1"/>
  <c r="AE24" i="1" s="1"/>
  <c r="AE16" i="1"/>
  <c r="AC32" i="1"/>
  <c r="AC33" i="1" s="1"/>
  <c r="AD32" i="1"/>
  <c r="AD33" i="1" s="1"/>
  <c r="Z32" i="1"/>
  <c r="Z33" i="1" s="1"/>
  <c r="P15" i="1"/>
  <c r="P16" i="1" s="1"/>
  <c r="Q7" i="1"/>
  <c r="Q28" i="1" l="1"/>
  <c r="Q22" i="1"/>
  <c r="Q31" i="1"/>
  <c r="Q30" i="1"/>
  <c r="Q21" i="1"/>
  <c r="R7" i="1"/>
  <c r="Q11" i="1"/>
  <c r="Q13" i="1"/>
  <c r="Q14" i="1"/>
  <c r="R12" i="1"/>
  <c r="Q23" i="1" l="1"/>
  <c r="Q24" i="1" s="1"/>
  <c r="R28" i="1"/>
  <c r="R22" i="1"/>
  <c r="R21" i="1"/>
  <c r="R31" i="1"/>
  <c r="R30" i="1"/>
  <c r="Q32" i="1"/>
  <c r="Q33" i="1" s="1"/>
  <c r="Q15" i="1"/>
  <c r="Q16" i="1" s="1"/>
  <c r="S7" i="1"/>
  <c r="R11" i="1"/>
  <c r="R13" i="1"/>
  <c r="R14" i="1"/>
  <c r="S12" i="1"/>
  <c r="R23" i="1" l="1"/>
  <c r="R24" i="1" s="1"/>
  <c r="S30" i="1"/>
  <c r="S21" i="1"/>
  <c r="S28" i="1"/>
  <c r="S27" i="1"/>
  <c r="S22" i="1"/>
  <c r="S31" i="1"/>
  <c r="R32" i="1"/>
  <c r="R33" i="1" s="1"/>
  <c r="R15" i="1"/>
  <c r="R16" i="1" s="1"/>
  <c r="T7" i="1"/>
  <c r="S14" i="1"/>
  <c r="S13" i="1"/>
  <c r="S11" i="1"/>
  <c r="T12" i="1"/>
  <c r="S32" i="1" l="1"/>
  <c r="S33" i="1" s="1"/>
  <c r="S23" i="1"/>
  <c r="S24" i="1" s="1"/>
  <c r="T31" i="1"/>
  <c r="T22" i="1"/>
  <c r="T30" i="1"/>
  <c r="T28" i="1"/>
  <c r="T27" i="1"/>
  <c r="T21" i="1"/>
  <c r="S15" i="1"/>
  <c r="S16" i="1" s="1"/>
  <c r="U7" i="1"/>
  <c r="T13" i="1"/>
  <c r="T14" i="1"/>
  <c r="T11" i="1"/>
  <c r="U12" i="1"/>
  <c r="T23" i="1" l="1"/>
  <c r="T24" i="1" s="1"/>
  <c r="U28" i="1"/>
  <c r="U27" i="1"/>
  <c r="U22" i="1"/>
  <c r="U31" i="1"/>
  <c r="U30" i="1"/>
  <c r="U21" i="1"/>
  <c r="T32" i="1"/>
  <c r="T33" i="1" s="1"/>
  <c r="T15" i="1"/>
  <c r="T16" i="1" s="1"/>
  <c r="V7" i="1"/>
  <c r="U11" i="1"/>
  <c r="U13" i="1"/>
  <c r="U10" i="1"/>
  <c r="U14" i="1"/>
  <c r="V12" i="1"/>
  <c r="V28" i="1" l="1"/>
  <c r="V27" i="1"/>
  <c r="V22" i="1"/>
  <c r="V21" i="1"/>
  <c r="V30" i="1"/>
  <c r="V31" i="1"/>
  <c r="U32" i="1"/>
  <c r="U33" i="1" s="1"/>
  <c r="U23" i="1"/>
  <c r="U24" i="1" s="1"/>
  <c r="U15" i="1"/>
  <c r="U16" i="1" s="1"/>
  <c r="W7" i="1"/>
  <c r="V10" i="1"/>
  <c r="V14" i="1"/>
  <c r="V11" i="1"/>
  <c r="V13" i="1"/>
  <c r="W12" i="1"/>
  <c r="V23" i="1" l="1"/>
  <c r="V24" i="1" s="1"/>
  <c r="W30" i="1"/>
  <c r="W21" i="1"/>
  <c r="W31" i="1"/>
  <c r="W28" i="1"/>
  <c r="W27" i="1"/>
  <c r="W22" i="1"/>
  <c r="V32" i="1"/>
  <c r="V33" i="1" s="1"/>
  <c r="V15" i="1"/>
  <c r="V16" i="1" s="1"/>
  <c r="X7" i="1"/>
  <c r="W14" i="1"/>
  <c r="W10" i="1"/>
  <c r="W11" i="1"/>
  <c r="W13" i="1"/>
  <c r="X12" i="1"/>
  <c r="W32" i="1" l="1"/>
  <c r="W33" i="1" s="1"/>
  <c r="X31" i="1"/>
  <c r="X27" i="1"/>
  <c r="X30" i="1"/>
  <c r="X28" i="1"/>
  <c r="X22" i="1"/>
  <c r="X21" i="1"/>
  <c r="W23" i="1"/>
  <c r="W24" i="1" s="1"/>
  <c r="W15" i="1"/>
  <c r="W16" i="1" s="1"/>
  <c r="Y7" i="1"/>
  <c r="X13" i="1"/>
  <c r="X14" i="1"/>
  <c r="X11" i="1"/>
  <c r="X10" i="1"/>
  <c r="Y12" i="1"/>
  <c r="Y28" i="1" l="1"/>
  <c r="Y27" i="1"/>
  <c r="Y22" i="1"/>
  <c r="Y31" i="1"/>
  <c r="Y30" i="1"/>
  <c r="Y21" i="1"/>
  <c r="X23" i="1"/>
  <c r="X24" i="1" s="1"/>
  <c r="X32" i="1"/>
  <c r="X33" i="1" s="1"/>
  <c r="X15" i="1"/>
  <c r="X16" i="1" s="1"/>
  <c r="Z7" i="1"/>
  <c r="AA7" i="1" s="1"/>
  <c r="AB7" i="1" s="1"/>
  <c r="AC7" i="1" s="1"/>
  <c r="AD7" i="1" s="1"/>
  <c r="AE7" i="1" s="1"/>
  <c r="Y11" i="1"/>
  <c r="Y13" i="1"/>
  <c r="Y14" i="1"/>
  <c r="Y10" i="1"/>
  <c r="Z12" i="1"/>
  <c r="Z15" i="1" s="1"/>
  <c r="Z16" i="1" s="1"/>
  <c r="Y23" i="1" l="1"/>
  <c r="Y24" i="1" s="1"/>
  <c r="N23" i="1" s="1"/>
  <c r="I13" i="1" s="1"/>
  <c r="Y32" i="1"/>
  <c r="Y33" i="1" s="1"/>
  <c r="N32" i="1" s="1"/>
  <c r="I14" i="1" s="1"/>
  <c r="Y15" i="1"/>
  <c r="Y16" i="1" s="1"/>
  <c r="AA12" i="1"/>
  <c r="AA15" i="1" s="1"/>
  <c r="AA16" i="1" s="1"/>
  <c r="AB12" i="1" l="1"/>
  <c r="AB15" i="1" s="1"/>
  <c r="AB16" i="1" s="1"/>
  <c r="AC12" i="1" l="1"/>
  <c r="AC15" i="1" s="1"/>
  <c r="AC16" i="1" s="1"/>
  <c r="AD12" i="1" l="1"/>
  <c r="AD15" i="1" s="1"/>
  <c r="AD16" i="1" s="1"/>
  <c r="I12" i="1" s="1"/>
  <c r="H6" i="1" s="1"/>
</calcChain>
</file>

<file path=xl/comments1.xml><?xml version="1.0" encoding="utf-8"?>
<comments xmlns="http://schemas.openxmlformats.org/spreadsheetml/2006/main">
  <authors>
    <author>Author</author>
  </authors>
  <commentList>
    <comment ref="N10" authorId="0" shapeId="0">
      <text>
        <r>
          <rPr>
            <b/>
            <sz val="9"/>
            <color indexed="81"/>
            <rFont val="Tahoma"/>
            <family val="2"/>
          </rPr>
          <t>SCD:</t>
        </r>
        <r>
          <rPr>
            <sz val="9"/>
            <color indexed="81"/>
            <rFont val="Tahoma"/>
            <family val="2"/>
          </rPr>
          <t xml:space="preserve">
Maintenance Free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SCD:</t>
        </r>
        <r>
          <rPr>
            <sz val="9"/>
            <color indexed="81"/>
            <rFont val="Tahoma"/>
            <family val="2"/>
          </rPr>
          <t xml:space="preserve">Term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 xml:space="preserve">SCD: </t>
        </r>
        <r>
          <rPr>
            <sz val="9"/>
            <color indexed="81"/>
            <rFont val="Tahoma"/>
            <family val="2"/>
          </rPr>
          <t xml:space="preserve">Maintenance free years
</t>
        </r>
      </text>
    </comment>
  </commentList>
</comments>
</file>

<file path=xl/sharedStrings.xml><?xml version="1.0" encoding="utf-8"?>
<sst xmlns="http://schemas.openxmlformats.org/spreadsheetml/2006/main" count="59" uniqueCount="40">
  <si>
    <t>Salvage Value</t>
  </si>
  <si>
    <t>Cost of Capital</t>
  </si>
  <si>
    <t>Inflation</t>
  </si>
  <si>
    <t>Productivity Improvement</t>
  </si>
  <si>
    <t>Damages Reduction</t>
  </si>
  <si>
    <t>WH Damages (prev. Year)</t>
  </si>
  <si>
    <t>WH Manpower Cost</t>
  </si>
  <si>
    <t>Financial Inputs</t>
  </si>
  <si>
    <t>Supply Chain Inputs</t>
  </si>
  <si>
    <t>Life of Asset (years)</t>
  </si>
  <si>
    <t>Conveyer Maintenance Cost</t>
  </si>
  <si>
    <t>Conveyer Operational Costs (Electricity etc.)</t>
  </si>
  <si>
    <t>Buying Cost</t>
  </si>
  <si>
    <t>Maintenance</t>
  </si>
  <si>
    <t>Year</t>
  </si>
  <si>
    <t>max 15</t>
  </si>
  <si>
    <t>Operational Cost</t>
  </si>
  <si>
    <t>Productivity Savings</t>
  </si>
  <si>
    <t>Damage Reduction</t>
  </si>
  <si>
    <t>Net Cash Flow</t>
  </si>
  <si>
    <t>Discounted Cash Flow</t>
  </si>
  <si>
    <t>Inflation Factor</t>
  </si>
  <si>
    <t>Cost of Capital Factor</t>
  </si>
  <si>
    <t>Rental</t>
  </si>
  <si>
    <t>OPTION 1: BUY</t>
  </si>
  <si>
    <t>OPTION 2: RENT</t>
  </si>
  <si>
    <t>OPTION 3: RENT&amp;BUY</t>
  </si>
  <si>
    <t>Inputs</t>
  </si>
  <si>
    <t>NPV</t>
  </si>
  <si>
    <t>OPTION 3: RENT &amp; BUY</t>
  </si>
  <si>
    <t>OPTIONS</t>
  </si>
  <si>
    <t>OPTION 4: STATUS QUO</t>
  </si>
  <si>
    <t>RECOMMENDATION</t>
  </si>
  <si>
    <t>DETAILED CALCULATIONS</t>
  </si>
  <si>
    <t>RENT VS BUY - BUSINESS CASE</t>
  </si>
  <si>
    <t>Notes and Assumptions:</t>
  </si>
  <si>
    <t>Maintenance costs are assumed to increase @rate of inflation</t>
  </si>
  <si>
    <t>All cash flows are assumed to occur at the beginning of the respective year</t>
  </si>
  <si>
    <t>Similarly, operational cost, damages and manpower cost are assumed to increase @rate of inflation</t>
  </si>
  <si>
    <r>
      <t xml:space="preserve">© Copyright Supply Chain Detective. This work is licensed under Creative Commons Attribution-NonCommercial-ShareAlike 4.0 International License. 
This means that you are free to copy, modify and distribute the derivatives of this work under the same license for </t>
    </r>
    <r>
      <rPr>
        <u/>
        <sz val="11"/>
        <color theme="1"/>
        <rFont val="Calibri"/>
        <family val="2"/>
        <scheme val="minor"/>
      </rPr>
      <t>non-commercial use only</t>
    </r>
    <r>
      <rPr>
        <sz val="11"/>
        <color theme="1"/>
        <rFont val="Calibri"/>
        <family val="2"/>
        <scheme val="minor"/>
      </rPr>
      <t xml:space="preserve"> with attribution to the original author. 
If you wish to use this work for commercial purposes, including training, </t>
    </r>
    <r>
      <rPr>
        <u/>
        <sz val="11"/>
        <color theme="1"/>
        <rFont val="Calibri"/>
        <family val="2"/>
        <scheme val="minor"/>
      </rPr>
      <t>contact the author for appropriate permissions.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</si>
</sst>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4" tint="0.499984740745262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3" applyNumberFormat="0" applyFill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</cellStyleXfs>
  <cellXfs count="64">
    <xf numFmtId="0" fontId="0" fillId="0" borderId="0" xfId="0"/>
    <xf numFmtId="0" fontId="0" fillId="4" borderId="0" xfId="0" applyFill="1"/>
    <xf numFmtId="0" fontId="0" fillId="0" borderId="0" xfId="0" applyBorder="1" applyAlignment="1">
      <alignment horizontal="right"/>
    </xf>
    <xf numFmtId="9" fontId="0" fillId="0" borderId="0" xfId="0" applyNumberFormat="1" applyBorder="1"/>
    <xf numFmtId="0" fontId="4" fillId="2" borderId="2" xfId="4" applyBorder="1" applyAlignment="1">
      <alignment horizontal="right"/>
    </xf>
    <xf numFmtId="0" fontId="1" fillId="3" borderId="2" xfId="5" applyBorder="1"/>
    <xf numFmtId="9" fontId="1" fillId="3" borderId="2" xfId="5" applyNumberFormat="1" applyBorder="1"/>
    <xf numFmtId="164" fontId="1" fillId="3" borderId="2" xfId="5" applyNumberFormat="1" applyBorder="1"/>
    <xf numFmtId="0" fontId="3" fillId="0" borderId="0" xfId="0" applyFont="1"/>
    <xf numFmtId="164" fontId="1" fillId="3" borderId="2" xfId="2" applyNumberFormat="1" applyFill="1" applyBorder="1"/>
    <xf numFmtId="0" fontId="5" fillId="0" borderId="0" xfId="0" applyFont="1"/>
    <xf numFmtId="0" fontId="3" fillId="0" borderId="2" xfId="0" applyFont="1" applyBorder="1"/>
    <xf numFmtId="0" fontId="0" fillId="0" borderId="2" xfId="0" applyBorder="1"/>
    <xf numFmtId="164" fontId="0" fillId="0" borderId="2" xfId="2" applyNumberFormat="1" applyFont="1" applyBorder="1"/>
    <xf numFmtId="164" fontId="0" fillId="0" borderId="2" xfId="0" applyNumberFormat="1" applyBorder="1"/>
    <xf numFmtId="0" fontId="0" fillId="0" borderId="2" xfId="0" applyFont="1" applyBorder="1"/>
    <xf numFmtId="44" fontId="0" fillId="0" borderId="2" xfId="2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0" fillId="0" borderId="6" xfId="2" applyNumberFormat="1" applyFont="1" applyBorder="1"/>
    <xf numFmtId="44" fontId="0" fillId="0" borderId="6" xfId="2" applyFont="1" applyBorder="1"/>
    <xf numFmtId="0" fontId="3" fillId="0" borderId="10" xfId="0" applyFont="1" applyBorder="1"/>
    <xf numFmtId="0" fontId="0" fillId="0" borderId="11" xfId="0" applyBorder="1"/>
    <xf numFmtId="165" fontId="0" fillId="0" borderId="11" xfId="1" applyNumberFormat="1" applyFont="1" applyBorder="1"/>
    <xf numFmtId="0" fontId="3" fillId="0" borderId="10" xfId="0" applyFont="1" applyBorder="1" applyAlignment="1">
      <alignment horizontal="center" vertical="center"/>
    </xf>
    <xf numFmtId="0" fontId="11" fillId="0" borderId="0" xfId="0" applyFont="1"/>
    <xf numFmtId="2" fontId="6" fillId="0" borderId="0" xfId="0" applyNumberFormat="1" applyFont="1" applyAlignment="1">
      <alignment horizontal="right"/>
    </xf>
    <xf numFmtId="43" fontId="6" fillId="0" borderId="0" xfId="1" applyNumberFormat="1" applyFont="1" applyAlignment="1">
      <alignment horizontal="right"/>
    </xf>
    <xf numFmtId="43" fontId="6" fillId="0" borderId="0" xfId="1" applyFont="1" applyAlignment="1">
      <alignment horizontal="right"/>
    </xf>
    <xf numFmtId="0" fontId="0" fillId="9" borderId="2" xfId="0" applyFill="1" applyBorder="1"/>
    <xf numFmtId="164" fontId="0" fillId="9" borderId="2" xfId="0" applyNumberFormat="1" applyFill="1" applyBorder="1"/>
    <xf numFmtId="164" fontId="0" fillId="9" borderId="6" xfId="0" applyNumberFormat="1" applyFill="1" applyBorder="1"/>
    <xf numFmtId="0" fontId="0" fillId="9" borderId="8" xfId="0" applyFill="1" applyBorder="1"/>
    <xf numFmtId="164" fontId="0" fillId="9" borderId="8" xfId="0" applyNumberFormat="1" applyFill="1" applyBorder="1"/>
    <xf numFmtId="164" fontId="0" fillId="9" borderId="9" xfId="0" applyNumberFormat="1" applyFill="1" applyBorder="1"/>
    <xf numFmtId="164" fontId="1" fillId="7" borderId="2" xfId="9" applyNumberFormat="1" applyBorder="1"/>
    <xf numFmtId="0" fontId="1" fillId="7" borderId="2" xfId="9" applyBorder="1"/>
    <xf numFmtId="0" fontId="1" fillId="7" borderId="6" xfId="9" applyBorder="1"/>
    <xf numFmtId="164" fontId="1" fillId="3" borderId="6" xfId="5" applyNumberFormat="1" applyBorder="1"/>
    <xf numFmtId="0" fontId="1" fillId="3" borderId="6" xfId="5" applyBorder="1"/>
    <xf numFmtId="164" fontId="3" fillId="9" borderId="8" xfId="0" applyNumberFormat="1" applyFont="1" applyFill="1" applyBorder="1"/>
    <xf numFmtId="164" fontId="3" fillId="9" borderId="9" xfId="0" applyNumberFormat="1" applyFont="1" applyFill="1" applyBorder="1"/>
    <xf numFmtId="0" fontId="1" fillId="3" borderId="11" xfId="5" applyBorder="1" applyAlignment="1">
      <alignment horizontal="center" vertical="center"/>
    </xf>
    <xf numFmtId="165" fontId="1" fillId="3" borderId="11" xfId="5" applyNumberFormat="1" applyBorder="1"/>
    <xf numFmtId="0" fontId="4" fillId="2" borderId="2" xfId="4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6" borderId="12" xfId="8" applyFont="1" applyBorder="1" applyAlignment="1">
      <alignment horizontal="center" vertical="center" textRotation="90" wrapText="1"/>
    </xf>
    <xf numFmtId="0" fontId="10" fillId="6" borderId="13" xfId="8" applyFont="1" applyBorder="1" applyAlignment="1">
      <alignment horizontal="center" vertical="center" textRotation="90" wrapText="1"/>
    </xf>
    <xf numFmtId="0" fontId="10" fillId="6" borderId="14" xfId="8" applyFont="1" applyBorder="1" applyAlignment="1">
      <alignment horizontal="center" vertical="center" textRotation="90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2" fillId="0" borderId="0" xfId="3" applyBorder="1" applyAlignment="1">
      <alignment horizontal="center"/>
    </xf>
    <xf numFmtId="0" fontId="10" fillId="5" borderId="12" xfId="7" applyFont="1" applyBorder="1" applyAlignment="1">
      <alignment horizontal="center" vertical="center" textRotation="90" wrapText="1"/>
    </xf>
    <xf numFmtId="0" fontId="10" fillId="5" borderId="13" xfId="7" applyFont="1" applyBorder="1" applyAlignment="1">
      <alignment horizontal="center" vertical="center" textRotation="90" wrapText="1"/>
    </xf>
    <xf numFmtId="0" fontId="10" fillId="5" borderId="14" xfId="7" applyFont="1" applyBorder="1" applyAlignment="1">
      <alignment horizontal="center" vertical="center" textRotation="90" wrapText="1"/>
    </xf>
    <xf numFmtId="0" fontId="10" fillId="8" borderId="12" xfId="10" applyFont="1" applyBorder="1" applyAlignment="1">
      <alignment horizontal="center" vertical="center" textRotation="90" wrapText="1"/>
    </xf>
    <xf numFmtId="0" fontId="10" fillId="8" borderId="13" xfId="10" applyFont="1" applyBorder="1" applyAlignment="1">
      <alignment horizontal="center" vertical="center" textRotation="90" wrapText="1"/>
    </xf>
    <xf numFmtId="0" fontId="10" fillId="8" borderId="14" xfId="10" applyFont="1" applyBorder="1" applyAlignment="1">
      <alignment horizontal="center" vertical="center" textRotation="90" wrapText="1"/>
    </xf>
    <xf numFmtId="0" fontId="2" fillId="0" borderId="1" xfId="3" applyAlignment="1">
      <alignment horizont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9" fillId="0" borderId="0" xfId="6" applyBorder="1" applyAlignment="1">
      <alignment horizontal="center" wrapText="1"/>
    </xf>
    <xf numFmtId="0" fontId="9" fillId="0" borderId="3" xfId="6" applyAlignment="1">
      <alignment horizontal="center" wrapText="1"/>
    </xf>
  </cellXfs>
  <cellStyles count="11">
    <cellStyle name="20% - Accent2" xfId="9" builtinId="34"/>
    <cellStyle name="40% - Accent3" xfId="5" builtinId="39"/>
    <cellStyle name="Accent1" xfId="7" builtinId="29"/>
    <cellStyle name="Accent2" xfId="8" builtinId="33"/>
    <cellStyle name="Accent3" xfId="4" builtinId="37"/>
    <cellStyle name="Accent6" xfId="10" builtinId="49"/>
    <cellStyle name="Comma" xfId="1" builtinId="3"/>
    <cellStyle name="Currency" xfId="2" builtinId="4"/>
    <cellStyle name="Heading 2" xfId="3" builtinId="17"/>
    <cellStyle name="Heading 3" xfId="6" builtinId="1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123265</xdr:colOff>
      <xdr:row>4</xdr:row>
      <xdr:rowOff>168088</xdr:rowOff>
    </xdr:from>
    <xdr:to>
      <xdr:col>31</xdr:col>
      <xdr:colOff>392206</xdr:colOff>
      <xdr:row>5</xdr:row>
      <xdr:rowOff>257736</xdr:rowOff>
    </xdr:to>
    <xdr:sp macro="" textlink="">
      <xdr:nvSpPr>
        <xdr:cNvPr id="5" name="Up Arrow 4"/>
        <xdr:cNvSpPr/>
      </xdr:nvSpPr>
      <xdr:spPr>
        <a:xfrm>
          <a:off x="10992971" y="1344706"/>
          <a:ext cx="268941" cy="31376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6</xdr:col>
      <xdr:colOff>425823</xdr:colOff>
      <xdr:row>3</xdr:row>
      <xdr:rowOff>112059</xdr:rowOff>
    </xdr:from>
    <xdr:to>
      <xdr:col>9</xdr:col>
      <xdr:colOff>179294</xdr:colOff>
      <xdr:row>7</xdr:row>
      <xdr:rowOff>11206</xdr:rowOff>
    </xdr:to>
    <xdr:sp macro="" textlink="">
      <xdr:nvSpPr>
        <xdr:cNvPr id="6" name="Rounded Rectangle 5"/>
        <xdr:cNvSpPr/>
      </xdr:nvSpPr>
      <xdr:spPr>
        <a:xfrm>
          <a:off x="5390029" y="1311088"/>
          <a:ext cx="2588559" cy="81803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0</xdr:col>
      <xdr:colOff>616324</xdr:colOff>
      <xdr:row>0</xdr:row>
      <xdr:rowOff>44824</xdr:rowOff>
    </xdr:from>
    <xdr:to>
      <xdr:col>13</xdr:col>
      <xdr:colOff>392206</xdr:colOff>
      <xdr:row>1</xdr:row>
      <xdr:rowOff>369794</xdr:rowOff>
    </xdr:to>
    <xdr:grpSp>
      <xdr:nvGrpSpPr>
        <xdr:cNvPr id="7" name="Group 6">
          <a:hlinkClick xmlns:r="http://schemas.openxmlformats.org/officeDocument/2006/relationships" r:id="rId1"/>
        </xdr:cNvPr>
        <xdr:cNvGrpSpPr/>
      </xdr:nvGrpSpPr>
      <xdr:grpSpPr>
        <a:xfrm>
          <a:off x="616324" y="44824"/>
          <a:ext cx="10533529" cy="694764"/>
          <a:chOff x="3018452" y="1105927"/>
          <a:chExt cx="8967222" cy="2142857"/>
        </a:xfrm>
      </xdr:grpSpPr>
      <xdr:sp macro="" textlink="">
        <xdr:nvSpPr>
          <xdr:cNvPr id="8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3"/>
  <sheetViews>
    <sheetView showGridLines="0" showRowColHeaders="0" tabSelected="1" zoomScale="85" zoomScaleNormal="85" workbookViewId="0">
      <selection activeCell="F13" sqref="F13"/>
    </sheetView>
  </sheetViews>
  <sheetFormatPr defaultRowHeight="15" outlineLevelCol="1" x14ac:dyDescent="0.25"/>
  <cols>
    <col min="1" max="1" width="10.7109375" customWidth="1"/>
    <col min="2" max="2" width="28.140625" customWidth="1"/>
    <col min="3" max="3" width="12.5703125" bestFit="1" customWidth="1"/>
    <col min="8" max="8" width="21.140625" bestFit="1" customWidth="1"/>
    <col min="9" max="9" width="12.28515625" bestFit="1" customWidth="1"/>
    <col min="12" max="12" width="13.140625" customWidth="1"/>
    <col min="13" max="13" width="14.85546875" customWidth="1"/>
    <col min="14" max="14" width="9.7109375" hidden="1" customWidth="1" outlineLevel="1"/>
    <col min="15" max="15" width="19.28515625" hidden="1" customWidth="1" outlineLevel="1"/>
    <col min="16" max="16" width="15.42578125" hidden="1" customWidth="1" outlineLevel="1"/>
    <col min="17" max="21" width="13.42578125" hidden="1" customWidth="1" outlineLevel="1"/>
    <col min="22" max="30" width="12.85546875" hidden="1" customWidth="1" outlineLevel="1"/>
    <col min="31" max="31" width="9.28515625" hidden="1" customWidth="1" outlineLevel="1"/>
    <col min="32" max="32" width="9.140625" collapsed="1"/>
  </cols>
  <sheetData>
    <row r="1" spans="2:31" s="1" customFormat="1" ht="29.25" customHeight="1" x14ac:dyDescent="0.25"/>
    <row r="2" spans="2:31" s="1" customFormat="1" ht="33.75" customHeight="1" x14ac:dyDescent="0.25"/>
    <row r="3" spans="2:31" ht="31.5" customHeight="1" x14ac:dyDescent="0.25">
      <c r="G3" s="45" t="s">
        <v>34</v>
      </c>
      <c r="H3" s="45"/>
      <c r="I3" s="45"/>
      <c r="J3" s="45"/>
    </row>
    <row r="5" spans="2:31" ht="18" thickBot="1" x14ac:dyDescent="0.35">
      <c r="B5" s="52" t="s">
        <v>7</v>
      </c>
      <c r="C5" s="52"/>
      <c r="H5" s="59" t="s">
        <v>32</v>
      </c>
      <c r="I5" s="59"/>
      <c r="M5" s="62" t="s">
        <v>33</v>
      </c>
    </row>
    <row r="6" spans="2:31" ht="22.5" customHeight="1" thickTop="1" thickBot="1" x14ac:dyDescent="0.3">
      <c r="B6" s="4" t="s">
        <v>9</v>
      </c>
      <c r="C6" s="5">
        <v>10</v>
      </c>
      <c r="D6" s="10" t="s">
        <v>15</v>
      </c>
      <c r="H6" s="60" t="str">
        <f>CHOOSE(MATCH(MAX(I12:I15),I12:I15,0),"OPTION 1:BUY","OPTION 2: RENT","OPTION 3: RENT &amp; BUY","OPTION 4: STATUS QUO")</f>
        <v>OPTION 2: RENT</v>
      </c>
      <c r="I6" s="60"/>
      <c r="J6" s="8"/>
      <c r="K6" s="8"/>
      <c r="M6" s="63"/>
      <c r="O6" s="25" t="s">
        <v>22</v>
      </c>
      <c r="P6" s="26">
        <v>1</v>
      </c>
      <c r="Q6" s="27">
        <f t="shared" ref="Q6:AE6" si="0">P6*(1+CostOfCapital)</f>
        <v>1.18</v>
      </c>
      <c r="R6" s="27">
        <f t="shared" si="0"/>
        <v>1.3923999999999999</v>
      </c>
      <c r="S6" s="27">
        <f t="shared" si="0"/>
        <v>1.6430319999999998</v>
      </c>
      <c r="T6" s="27">
        <f t="shared" si="0"/>
        <v>1.9387777599999998</v>
      </c>
      <c r="U6" s="27">
        <f t="shared" si="0"/>
        <v>2.2877577567999996</v>
      </c>
      <c r="V6" s="27">
        <f t="shared" si="0"/>
        <v>2.6995541530239993</v>
      </c>
      <c r="W6" s="27">
        <f t="shared" si="0"/>
        <v>3.185473900568319</v>
      </c>
      <c r="X6" s="27">
        <f t="shared" si="0"/>
        <v>3.7588592026706165</v>
      </c>
      <c r="Y6" s="27">
        <f t="shared" si="0"/>
        <v>4.4354538591513268</v>
      </c>
      <c r="Z6" s="27">
        <f t="shared" si="0"/>
        <v>5.2338355537985652</v>
      </c>
      <c r="AA6" s="27">
        <f t="shared" si="0"/>
        <v>6.1759259534823068</v>
      </c>
      <c r="AB6" s="27">
        <f t="shared" si="0"/>
        <v>7.2875926251091219</v>
      </c>
      <c r="AC6" s="27">
        <f t="shared" si="0"/>
        <v>8.5993592976287641</v>
      </c>
      <c r="AD6" s="27">
        <f t="shared" si="0"/>
        <v>10.147243971201942</v>
      </c>
      <c r="AE6" s="27">
        <f t="shared" si="0"/>
        <v>11.973747886018291</v>
      </c>
    </row>
    <row r="7" spans="2:31" ht="16.5" customHeight="1" thickBot="1" x14ac:dyDescent="0.3">
      <c r="B7" s="4" t="s">
        <v>0</v>
      </c>
      <c r="C7" s="9">
        <v>150000</v>
      </c>
      <c r="H7" s="61"/>
      <c r="I7" s="61"/>
      <c r="O7" s="25" t="s">
        <v>21</v>
      </c>
      <c r="P7" s="28">
        <v>1</v>
      </c>
      <c r="Q7" s="28">
        <f t="shared" ref="Q7:AD7" si="1">P7*(1+Inflation)</f>
        <v>1.05</v>
      </c>
      <c r="R7" s="28">
        <f t="shared" si="1"/>
        <v>1.1025</v>
      </c>
      <c r="S7" s="28">
        <f t="shared" si="1"/>
        <v>1.1576250000000001</v>
      </c>
      <c r="T7" s="28">
        <f t="shared" si="1"/>
        <v>1.2155062500000002</v>
      </c>
      <c r="U7" s="28">
        <f t="shared" si="1"/>
        <v>1.2762815625000004</v>
      </c>
      <c r="V7" s="28">
        <f t="shared" si="1"/>
        <v>1.3400956406250004</v>
      </c>
      <c r="W7" s="28">
        <f t="shared" si="1"/>
        <v>1.4071004226562505</v>
      </c>
      <c r="X7" s="28">
        <f t="shared" si="1"/>
        <v>1.477455443789063</v>
      </c>
      <c r="Y7" s="28">
        <f t="shared" si="1"/>
        <v>1.5513282159785162</v>
      </c>
      <c r="Z7" s="28">
        <f t="shared" si="1"/>
        <v>1.628894626777442</v>
      </c>
      <c r="AA7" s="28">
        <f t="shared" si="1"/>
        <v>1.7103393581163142</v>
      </c>
      <c r="AB7" s="28">
        <f t="shared" si="1"/>
        <v>1.7958563260221301</v>
      </c>
      <c r="AC7" s="28">
        <f t="shared" si="1"/>
        <v>1.8856491423232367</v>
      </c>
      <c r="AD7" s="28">
        <f t="shared" si="1"/>
        <v>1.9799315994393987</v>
      </c>
      <c r="AE7" s="28">
        <f t="shared" ref="AE7" si="2">AD7*(1+Inflation)</f>
        <v>2.0789281794113688</v>
      </c>
    </row>
    <row r="8" spans="2:31" ht="15" customHeight="1" x14ac:dyDescent="0.25">
      <c r="B8" s="4" t="s">
        <v>1</v>
      </c>
      <c r="C8" s="6">
        <v>0.18</v>
      </c>
      <c r="M8" s="53" t="s">
        <v>24</v>
      </c>
      <c r="N8" s="24" t="s">
        <v>27</v>
      </c>
      <c r="O8" s="17" t="s">
        <v>14</v>
      </c>
      <c r="P8" s="17">
        <v>1</v>
      </c>
      <c r="Q8" s="17">
        <v>2</v>
      </c>
      <c r="R8" s="17">
        <v>3</v>
      </c>
      <c r="S8" s="17">
        <v>4</v>
      </c>
      <c r="T8" s="17">
        <v>5</v>
      </c>
      <c r="U8" s="17">
        <v>6</v>
      </c>
      <c r="V8" s="17">
        <v>7</v>
      </c>
      <c r="W8" s="17">
        <v>8</v>
      </c>
      <c r="X8" s="17">
        <v>9</v>
      </c>
      <c r="Y8" s="17">
        <v>10</v>
      </c>
      <c r="Z8" s="17">
        <v>11</v>
      </c>
      <c r="AA8" s="17">
        <v>12</v>
      </c>
      <c r="AB8" s="17">
        <v>13</v>
      </c>
      <c r="AC8" s="17">
        <v>14</v>
      </c>
      <c r="AD8" s="17">
        <v>15</v>
      </c>
      <c r="AE8" s="18">
        <v>16</v>
      </c>
    </row>
    <row r="9" spans="2:31" x14ac:dyDescent="0.25">
      <c r="B9" s="4" t="s">
        <v>2</v>
      </c>
      <c r="C9" s="6">
        <v>0.05</v>
      </c>
      <c r="M9" s="54"/>
      <c r="N9" s="22"/>
      <c r="O9" s="12" t="s">
        <v>12</v>
      </c>
      <c r="P9" s="35">
        <v>-1000000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7"/>
    </row>
    <row r="10" spans="2:31" x14ac:dyDescent="0.25">
      <c r="B10" s="2"/>
      <c r="C10" s="3"/>
      <c r="M10" s="54"/>
      <c r="N10" s="42">
        <v>5</v>
      </c>
      <c r="O10" s="12" t="s">
        <v>13</v>
      </c>
      <c r="P10" s="35">
        <f t="shared" ref="P10:AD10" si="3">IF(P8&gt;LifeOfAsset,0,-1*IF(P8&lt;=$N$10,0,ConveyerMaintCost*P7))</f>
        <v>0</v>
      </c>
      <c r="Q10" s="35">
        <f t="shared" si="3"/>
        <v>0</v>
      </c>
      <c r="R10" s="35">
        <f t="shared" si="3"/>
        <v>0</v>
      </c>
      <c r="S10" s="35">
        <f t="shared" si="3"/>
        <v>0</v>
      </c>
      <c r="T10" s="35">
        <f t="shared" si="3"/>
        <v>0</v>
      </c>
      <c r="U10" s="35">
        <f t="shared" si="3"/>
        <v>-63814.078125000015</v>
      </c>
      <c r="V10" s="35">
        <f t="shared" si="3"/>
        <v>-67004.782031250026</v>
      </c>
      <c r="W10" s="35">
        <f t="shared" si="3"/>
        <v>-70355.02113281253</v>
      </c>
      <c r="X10" s="35">
        <f t="shared" si="3"/>
        <v>-73872.772189453157</v>
      </c>
      <c r="Y10" s="35">
        <f t="shared" si="3"/>
        <v>-77566.410798925805</v>
      </c>
      <c r="Z10" s="35">
        <f t="shared" si="3"/>
        <v>0</v>
      </c>
      <c r="AA10" s="35">
        <f t="shared" si="3"/>
        <v>0</v>
      </c>
      <c r="AB10" s="35">
        <f t="shared" si="3"/>
        <v>0</v>
      </c>
      <c r="AC10" s="35">
        <f t="shared" si="3"/>
        <v>0</v>
      </c>
      <c r="AD10" s="35">
        <f t="shared" si="3"/>
        <v>0</v>
      </c>
      <c r="AE10" s="37"/>
    </row>
    <row r="11" spans="2:31" ht="17.25" x14ac:dyDescent="0.3">
      <c r="B11" s="52" t="s">
        <v>8</v>
      </c>
      <c r="C11" s="52"/>
      <c r="H11" s="11" t="s">
        <v>30</v>
      </c>
      <c r="I11" s="11" t="s">
        <v>28</v>
      </c>
      <c r="M11" s="54"/>
      <c r="N11" s="22"/>
      <c r="O11" s="12" t="s">
        <v>16</v>
      </c>
      <c r="P11" s="35">
        <f>IF(P$8&gt;LifeOfAsset,0,-1*ConOpsCost*P$7)</f>
        <v>-50000</v>
      </c>
      <c r="Q11" s="35">
        <f t="shared" ref="Q11:AD11" si="4">IF(Q8&gt;LifeOfAsset,0,-1*ConOpsCost*Q7)</f>
        <v>-52500</v>
      </c>
      <c r="R11" s="35">
        <f t="shared" si="4"/>
        <v>-55125</v>
      </c>
      <c r="S11" s="35">
        <f t="shared" si="4"/>
        <v>-57881.250000000007</v>
      </c>
      <c r="T11" s="35">
        <f t="shared" si="4"/>
        <v>-60775.312500000015</v>
      </c>
      <c r="U11" s="35">
        <f t="shared" si="4"/>
        <v>-63814.078125000015</v>
      </c>
      <c r="V11" s="35">
        <f t="shared" si="4"/>
        <v>-67004.782031250026</v>
      </c>
      <c r="W11" s="35">
        <f t="shared" si="4"/>
        <v>-70355.02113281253</v>
      </c>
      <c r="X11" s="35">
        <f t="shared" si="4"/>
        <v>-73872.772189453157</v>
      </c>
      <c r="Y11" s="35">
        <f t="shared" si="4"/>
        <v>-77566.410798925805</v>
      </c>
      <c r="Z11" s="35">
        <f t="shared" si="4"/>
        <v>0</v>
      </c>
      <c r="AA11" s="35">
        <f t="shared" si="4"/>
        <v>0</v>
      </c>
      <c r="AB11" s="35">
        <f t="shared" si="4"/>
        <v>0</v>
      </c>
      <c r="AC11" s="35">
        <f t="shared" si="4"/>
        <v>0</v>
      </c>
      <c r="AD11" s="35">
        <f t="shared" si="4"/>
        <v>0</v>
      </c>
      <c r="AE11" s="37"/>
    </row>
    <row r="12" spans="2:31" x14ac:dyDescent="0.25">
      <c r="B12" s="44" t="s">
        <v>3</v>
      </c>
      <c r="C12" s="6">
        <v>0.4</v>
      </c>
      <c r="H12" s="12" t="s">
        <v>24</v>
      </c>
      <c r="I12" s="14">
        <f>N15</f>
        <v>42072.475364098049</v>
      </c>
      <c r="M12" s="54"/>
      <c r="N12" s="22"/>
      <c r="O12" s="12" t="s">
        <v>0</v>
      </c>
      <c r="P12" s="7">
        <f>IF(P$8=LifeOfAsset+1,SalvageValue,0)</f>
        <v>0</v>
      </c>
      <c r="Q12" s="7">
        <f t="shared" ref="Q12:AE12" si="5">IF(Q8=LifeOfAsset+1,SalvageValue,0)</f>
        <v>0</v>
      </c>
      <c r="R12" s="7">
        <f t="shared" si="5"/>
        <v>0</v>
      </c>
      <c r="S12" s="7">
        <f t="shared" si="5"/>
        <v>0</v>
      </c>
      <c r="T12" s="7">
        <f t="shared" si="5"/>
        <v>0</v>
      </c>
      <c r="U12" s="7">
        <f t="shared" si="5"/>
        <v>0</v>
      </c>
      <c r="V12" s="7">
        <f t="shared" si="5"/>
        <v>0</v>
      </c>
      <c r="W12" s="7">
        <f t="shared" si="5"/>
        <v>0</v>
      </c>
      <c r="X12" s="7">
        <f t="shared" si="5"/>
        <v>0</v>
      </c>
      <c r="Y12" s="7">
        <f t="shared" si="5"/>
        <v>0</v>
      </c>
      <c r="Z12" s="7">
        <f t="shared" si="5"/>
        <v>150000</v>
      </c>
      <c r="AA12" s="7">
        <f t="shared" si="5"/>
        <v>0</v>
      </c>
      <c r="AB12" s="7">
        <f t="shared" si="5"/>
        <v>0</v>
      </c>
      <c r="AC12" s="7">
        <f t="shared" si="5"/>
        <v>0</v>
      </c>
      <c r="AD12" s="7">
        <f t="shared" si="5"/>
        <v>0</v>
      </c>
      <c r="AE12" s="38">
        <f t="shared" si="5"/>
        <v>0</v>
      </c>
    </row>
    <row r="13" spans="2:31" x14ac:dyDescent="0.25">
      <c r="B13" s="44" t="s">
        <v>4</v>
      </c>
      <c r="C13" s="6">
        <v>0.6</v>
      </c>
      <c r="H13" s="12" t="s">
        <v>25</v>
      </c>
      <c r="I13" s="14">
        <f>N23</f>
        <v>112197.14308711654</v>
      </c>
      <c r="M13" s="54"/>
      <c r="N13" s="22"/>
      <c r="O13" s="12" t="s">
        <v>17</v>
      </c>
      <c r="P13" s="7">
        <f>IF(P$8&gt;LifeOfAsset,0,WHManpowerCost*P$7*ProductivityImp)</f>
        <v>200000</v>
      </c>
      <c r="Q13" s="7">
        <f t="shared" ref="Q13:AD13" si="6">IF(Q8&gt;LifeOfAsset,0,WHManpowerCost*Q7*ProductivityImp)</f>
        <v>210000</v>
      </c>
      <c r="R13" s="7">
        <f t="shared" si="6"/>
        <v>220500</v>
      </c>
      <c r="S13" s="7">
        <f t="shared" si="6"/>
        <v>231525.00000000006</v>
      </c>
      <c r="T13" s="7">
        <f t="shared" si="6"/>
        <v>243101.25000000006</v>
      </c>
      <c r="U13" s="7">
        <f t="shared" si="6"/>
        <v>255256.31250000012</v>
      </c>
      <c r="V13" s="7">
        <f t="shared" si="6"/>
        <v>268019.1281250001</v>
      </c>
      <c r="W13" s="7">
        <f t="shared" si="6"/>
        <v>281420.08453125012</v>
      </c>
      <c r="X13" s="7">
        <f t="shared" si="6"/>
        <v>295491.08875781263</v>
      </c>
      <c r="Y13" s="7">
        <f t="shared" si="6"/>
        <v>310265.64319570328</v>
      </c>
      <c r="Z13" s="7">
        <f t="shared" si="6"/>
        <v>0</v>
      </c>
      <c r="AA13" s="7">
        <f t="shared" si="6"/>
        <v>0</v>
      </c>
      <c r="AB13" s="7">
        <f t="shared" si="6"/>
        <v>0</v>
      </c>
      <c r="AC13" s="7">
        <f t="shared" si="6"/>
        <v>0</v>
      </c>
      <c r="AD13" s="7">
        <f t="shared" si="6"/>
        <v>0</v>
      </c>
      <c r="AE13" s="39"/>
    </row>
    <row r="14" spans="2:31" x14ac:dyDescent="0.25">
      <c r="B14" s="44" t="s">
        <v>5</v>
      </c>
      <c r="C14" s="7">
        <v>50000</v>
      </c>
      <c r="H14" s="12" t="s">
        <v>29</v>
      </c>
      <c r="I14" s="14">
        <f>N32</f>
        <v>-56295.825642027106</v>
      </c>
      <c r="M14" s="54"/>
      <c r="N14" s="22"/>
      <c r="O14" s="12" t="s">
        <v>18</v>
      </c>
      <c r="P14" s="7">
        <f>IF(P$8&gt;LifeOfAsset,0,DamageReduction*WHDamages*P$7)</f>
        <v>30000</v>
      </c>
      <c r="Q14" s="7">
        <f t="shared" ref="Q14:AD14" si="7">IF(Q8&gt;LifeOfAsset,0,DamageReduction*WHDamages*Q7)</f>
        <v>31500</v>
      </c>
      <c r="R14" s="7">
        <f t="shared" si="7"/>
        <v>33075</v>
      </c>
      <c r="S14" s="7">
        <f t="shared" si="7"/>
        <v>34728.750000000007</v>
      </c>
      <c r="T14" s="7">
        <f t="shared" si="7"/>
        <v>36465.187500000007</v>
      </c>
      <c r="U14" s="7">
        <f t="shared" si="7"/>
        <v>38288.446875000009</v>
      </c>
      <c r="V14" s="7">
        <f t="shared" si="7"/>
        <v>40202.869218750013</v>
      </c>
      <c r="W14" s="7">
        <f t="shared" si="7"/>
        <v>42213.012679687512</v>
      </c>
      <c r="X14" s="7">
        <f t="shared" si="7"/>
        <v>44323.663313671888</v>
      </c>
      <c r="Y14" s="7">
        <f t="shared" si="7"/>
        <v>46539.846479355489</v>
      </c>
      <c r="Z14" s="7">
        <f t="shared" si="7"/>
        <v>0</v>
      </c>
      <c r="AA14" s="7">
        <f t="shared" si="7"/>
        <v>0</v>
      </c>
      <c r="AB14" s="7">
        <f t="shared" si="7"/>
        <v>0</v>
      </c>
      <c r="AC14" s="7">
        <f t="shared" si="7"/>
        <v>0</v>
      </c>
      <c r="AD14" s="7">
        <f t="shared" si="7"/>
        <v>0</v>
      </c>
      <c r="AE14" s="39"/>
    </row>
    <row r="15" spans="2:31" x14ac:dyDescent="0.25">
      <c r="B15" s="44" t="s">
        <v>6</v>
      </c>
      <c r="C15" s="7">
        <v>500000</v>
      </c>
      <c r="H15" s="12" t="s">
        <v>31</v>
      </c>
      <c r="I15" s="12">
        <v>0</v>
      </c>
      <c r="M15" s="54"/>
      <c r="N15" s="50">
        <f>SUM(P16:AD16)</f>
        <v>42072.475364098049</v>
      </c>
      <c r="O15" s="29" t="s">
        <v>19</v>
      </c>
      <c r="P15" s="30">
        <f>SUM(P9:P14)</f>
        <v>-820000</v>
      </c>
      <c r="Q15" s="30">
        <f t="shared" ref="Q15:AE15" si="8">SUM(Q9:Q14)</f>
        <v>189000</v>
      </c>
      <c r="R15" s="30">
        <f t="shared" si="8"/>
        <v>198450</v>
      </c>
      <c r="S15" s="30">
        <f t="shared" si="8"/>
        <v>208372.50000000006</v>
      </c>
      <c r="T15" s="30">
        <f t="shared" si="8"/>
        <v>218791.12500000006</v>
      </c>
      <c r="U15" s="30">
        <f t="shared" si="8"/>
        <v>165916.60312500008</v>
      </c>
      <c r="V15" s="30">
        <f t="shared" si="8"/>
        <v>174212.43328125007</v>
      </c>
      <c r="W15" s="30">
        <f t="shared" si="8"/>
        <v>182923.05494531256</v>
      </c>
      <c r="X15" s="30">
        <f t="shared" si="8"/>
        <v>192069.2076925782</v>
      </c>
      <c r="Y15" s="30">
        <f t="shared" si="8"/>
        <v>201672.66807720717</v>
      </c>
      <c r="Z15" s="30">
        <f t="shared" si="8"/>
        <v>150000</v>
      </c>
      <c r="AA15" s="30">
        <f t="shared" si="8"/>
        <v>0</v>
      </c>
      <c r="AB15" s="30">
        <f t="shared" si="8"/>
        <v>0</v>
      </c>
      <c r="AC15" s="30">
        <f t="shared" si="8"/>
        <v>0</v>
      </c>
      <c r="AD15" s="30">
        <f t="shared" si="8"/>
        <v>0</v>
      </c>
      <c r="AE15" s="31">
        <f t="shared" si="8"/>
        <v>0</v>
      </c>
    </row>
    <row r="16" spans="2:31" ht="15.75" thickBot="1" x14ac:dyDescent="0.3">
      <c r="B16" s="44" t="s">
        <v>10</v>
      </c>
      <c r="C16" s="7">
        <v>50000</v>
      </c>
      <c r="M16" s="55"/>
      <c r="N16" s="51"/>
      <c r="O16" s="32" t="s">
        <v>20</v>
      </c>
      <c r="P16" s="40">
        <f t="shared" ref="P16:AE16" si="9">P15/P6</f>
        <v>-820000</v>
      </c>
      <c r="Q16" s="40">
        <f t="shared" si="9"/>
        <v>160169.49152542374</v>
      </c>
      <c r="R16" s="40">
        <f t="shared" si="9"/>
        <v>142523.70008618216</v>
      </c>
      <c r="S16" s="40">
        <f t="shared" si="9"/>
        <v>126821.93651736551</v>
      </c>
      <c r="T16" s="40">
        <f t="shared" si="9"/>
        <v>112850.02825697778</v>
      </c>
      <c r="U16" s="40">
        <f t="shared" si="9"/>
        <v>72523.676351588845</v>
      </c>
      <c r="V16" s="40">
        <f t="shared" si="9"/>
        <v>64533.779804379905</v>
      </c>
      <c r="W16" s="40">
        <f t="shared" si="9"/>
        <v>57424.126097117711</v>
      </c>
      <c r="X16" s="40">
        <f t="shared" si="9"/>
        <v>51097.739323706439</v>
      </c>
      <c r="Y16" s="40">
        <f t="shared" si="9"/>
        <v>45468.327364315075</v>
      </c>
      <c r="Z16" s="40">
        <f t="shared" si="9"/>
        <v>28659.67003704088</v>
      </c>
      <c r="AA16" s="40">
        <f t="shared" si="9"/>
        <v>0</v>
      </c>
      <c r="AB16" s="40">
        <f t="shared" si="9"/>
        <v>0</v>
      </c>
      <c r="AC16" s="40">
        <f t="shared" si="9"/>
        <v>0</v>
      </c>
      <c r="AD16" s="40">
        <f t="shared" si="9"/>
        <v>0</v>
      </c>
      <c r="AE16" s="41">
        <f t="shared" si="9"/>
        <v>0</v>
      </c>
    </row>
    <row r="17" spans="2:31" ht="30" x14ac:dyDescent="0.25">
      <c r="B17" s="44" t="s">
        <v>11</v>
      </c>
      <c r="C17" s="7">
        <v>50000</v>
      </c>
      <c r="M17" s="56" t="s">
        <v>25</v>
      </c>
      <c r="N17" s="21"/>
      <c r="O17" s="17" t="s">
        <v>14</v>
      </c>
      <c r="P17" s="17">
        <v>1</v>
      </c>
      <c r="Q17" s="17">
        <v>2</v>
      </c>
      <c r="R17" s="17">
        <v>3</v>
      </c>
      <c r="S17" s="17">
        <v>4</v>
      </c>
      <c r="T17" s="17">
        <v>5</v>
      </c>
      <c r="U17" s="17">
        <v>6</v>
      </c>
      <c r="V17" s="17">
        <v>7</v>
      </c>
      <c r="W17" s="17">
        <v>8</v>
      </c>
      <c r="X17" s="17">
        <v>9</v>
      </c>
      <c r="Y17" s="17">
        <v>10</v>
      </c>
      <c r="Z17" s="17">
        <v>11</v>
      </c>
      <c r="AA17" s="17">
        <v>12</v>
      </c>
      <c r="AB17" s="17">
        <v>13</v>
      </c>
      <c r="AC17" s="17">
        <v>14</v>
      </c>
      <c r="AD17" s="17">
        <v>15</v>
      </c>
      <c r="AE17" s="18">
        <v>16</v>
      </c>
    </row>
    <row r="18" spans="2:31" ht="15" customHeight="1" x14ac:dyDescent="0.25">
      <c r="M18" s="57"/>
      <c r="N18" s="43">
        <v>250000</v>
      </c>
      <c r="O18" s="15" t="s">
        <v>23</v>
      </c>
      <c r="P18" s="13">
        <f t="shared" ref="P18:Y18" si="10">IF(P8&lt;=LifeOfAsset,-250000,0)</f>
        <v>-250000</v>
      </c>
      <c r="Q18" s="13">
        <f t="shared" si="10"/>
        <v>-250000</v>
      </c>
      <c r="R18" s="13">
        <f t="shared" si="10"/>
        <v>-250000</v>
      </c>
      <c r="S18" s="13">
        <f t="shared" si="10"/>
        <v>-250000</v>
      </c>
      <c r="T18" s="13">
        <f t="shared" si="10"/>
        <v>-250000</v>
      </c>
      <c r="U18" s="13">
        <f t="shared" si="10"/>
        <v>-250000</v>
      </c>
      <c r="V18" s="13">
        <f t="shared" si="10"/>
        <v>-250000</v>
      </c>
      <c r="W18" s="13">
        <f t="shared" si="10"/>
        <v>-250000</v>
      </c>
      <c r="X18" s="13">
        <f t="shared" si="10"/>
        <v>-250000</v>
      </c>
      <c r="Y18" s="13">
        <f t="shared" si="10"/>
        <v>-250000</v>
      </c>
      <c r="Z18" s="13">
        <f t="shared" ref="Z18:AE18" si="11">IF(Z8&lt;=LifeOfAsset,-200000,0)</f>
        <v>0</v>
      </c>
      <c r="AA18" s="13">
        <f t="shared" si="11"/>
        <v>0</v>
      </c>
      <c r="AB18" s="13">
        <f t="shared" si="11"/>
        <v>0</v>
      </c>
      <c r="AC18" s="13">
        <f t="shared" si="11"/>
        <v>0</v>
      </c>
      <c r="AD18" s="13">
        <f t="shared" si="11"/>
        <v>0</v>
      </c>
      <c r="AE18" s="19">
        <f t="shared" si="11"/>
        <v>0</v>
      </c>
    </row>
    <row r="19" spans="2:31" x14ac:dyDescent="0.25">
      <c r="M19" s="57"/>
      <c r="N19" s="22"/>
      <c r="O19" s="12" t="s">
        <v>13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20">
        <v>0</v>
      </c>
    </row>
    <row r="20" spans="2:31" x14ac:dyDescent="0.25">
      <c r="M20" s="57"/>
      <c r="N20" s="22"/>
      <c r="O20" s="12" t="s">
        <v>16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f t="shared" ref="Z20:AE20" si="12">IF(Z8&gt;LifeOfAsset,0,-1*ConOpsCost*Z7)</f>
        <v>0</v>
      </c>
      <c r="AA20" s="13">
        <f t="shared" si="12"/>
        <v>0</v>
      </c>
      <c r="AB20" s="13">
        <f t="shared" si="12"/>
        <v>0</v>
      </c>
      <c r="AC20" s="13">
        <f t="shared" si="12"/>
        <v>0</v>
      </c>
      <c r="AD20" s="13">
        <f t="shared" si="12"/>
        <v>0</v>
      </c>
      <c r="AE20" s="19">
        <f t="shared" si="12"/>
        <v>0</v>
      </c>
    </row>
    <row r="21" spans="2:31" x14ac:dyDescent="0.25">
      <c r="M21" s="57"/>
      <c r="N21" s="22"/>
      <c r="O21" s="12" t="s">
        <v>17</v>
      </c>
      <c r="P21" s="13">
        <f t="shared" ref="P21:AE21" si="13">IF(P8&gt;LifeOfAsset,0,WHManpowerCost*P7*ProductivityImp)</f>
        <v>200000</v>
      </c>
      <c r="Q21" s="13">
        <f t="shared" si="13"/>
        <v>210000</v>
      </c>
      <c r="R21" s="13">
        <f t="shared" si="13"/>
        <v>220500</v>
      </c>
      <c r="S21" s="13">
        <f t="shared" si="13"/>
        <v>231525.00000000006</v>
      </c>
      <c r="T21" s="13">
        <f t="shared" si="13"/>
        <v>243101.25000000006</v>
      </c>
      <c r="U21" s="13">
        <f t="shared" si="13"/>
        <v>255256.31250000012</v>
      </c>
      <c r="V21" s="13">
        <f t="shared" si="13"/>
        <v>268019.1281250001</v>
      </c>
      <c r="W21" s="13">
        <f t="shared" si="13"/>
        <v>281420.08453125012</v>
      </c>
      <c r="X21" s="13">
        <f t="shared" si="13"/>
        <v>295491.08875781263</v>
      </c>
      <c r="Y21" s="13">
        <f t="shared" si="13"/>
        <v>310265.64319570328</v>
      </c>
      <c r="Z21" s="13">
        <f t="shared" si="13"/>
        <v>0</v>
      </c>
      <c r="AA21" s="13">
        <f t="shared" si="13"/>
        <v>0</v>
      </c>
      <c r="AB21" s="13">
        <f t="shared" si="13"/>
        <v>0</v>
      </c>
      <c r="AC21" s="13">
        <f t="shared" si="13"/>
        <v>0</v>
      </c>
      <c r="AD21" s="13">
        <f t="shared" si="13"/>
        <v>0</v>
      </c>
      <c r="AE21" s="19">
        <f t="shared" si="13"/>
        <v>0</v>
      </c>
    </row>
    <row r="22" spans="2:31" x14ac:dyDescent="0.25">
      <c r="M22" s="57"/>
      <c r="N22" s="22"/>
      <c r="O22" s="12" t="s">
        <v>18</v>
      </c>
      <c r="P22" s="13">
        <f t="shared" ref="P22:AE22" si="14">IF(P8&gt;LifeOfAsset,0,DamageReduction*WHDamages*P7)</f>
        <v>30000</v>
      </c>
      <c r="Q22" s="13">
        <f t="shared" si="14"/>
        <v>31500</v>
      </c>
      <c r="R22" s="13">
        <f t="shared" si="14"/>
        <v>33075</v>
      </c>
      <c r="S22" s="13">
        <f t="shared" si="14"/>
        <v>34728.750000000007</v>
      </c>
      <c r="T22" s="13">
        <f t="shared" si="14"/>
        <v>36465.187500000007</v>
      </c>
      <c r="U22" s="13">
        <f t="shared" si="14"/>
        <v>38288.446875000009</v>
      </c>
      <c r="V22" s="13">
        <f t="shared" si="14"/>
        <v>40202.869218750013</v>
      </c>
      <c r="W22" s="13">
        <f t="shared" si="14"/>
        <v>42213.012679687512</v>
      </c>
      <c r="X22" s="13">
        <f t="shared" si="14"/>
        <v>44323.663313671888</v>
      </c>
      <c r="Y22" s="13">
        <f t="shared" si="14"/>
        <v>46539.846479355489</v>
      </c>
      <c r="Z22" s="13">
        <f t="shared" si="14"/>
        <v>0</v>
      </c>
      <c r="AA22" s="13">
        <f t="shared" si="14"/>
        <v>0</v>
      </c>
      <c r="AB22" s="13">
        <f t="shared" si="14"/>
        <v>0</v>
      </c>
      <c r="AC22" s="13">
        <f t="shared" si="14"/>
        <v>0</v>
      </c>
      <c r="AD22" s="13">
        <f t="shared" si="14"/>
        <v>0</v>
      </c>
      <c r="AE22" s="19">
        <f t="shared" si="14"/>
        <v>0</v>
      </c>
    </row>
    <row r="23" spans="2:31" x14ac:dyDescent="0.25">
      <c r="M23" s="57"/>
      <c r="N23" s="50">
        <f>SUM(P24:AE24)</f>
        <v>112197.14308711654</v>
      </c>
      <c r="O23" s="29" t="s">
        <v>19</v>
      </c>
      <c r="P23" s="30">
        <f>SUM(P18:P22)</f>
        <v>-20000</v>
      </c>
      <c r="Q23" s="30">
        <f t="shared" ref="Q23:AE23" si="15">SUM(Q18:Q22)</f>
        <v>-8500</v>
      </c>
      <c r="R23" s="30">
        <f t="shared" si="15"/>
        <v>3575</v>
      </c>
      <c r="S23" s="30">
        <f t="shared" si="15"/>
        <v>16253.750000000065</v>
      </c>
      <c r="T23" s="30">
        <f t="shared" si="15"/>
        <v>29566.437500000065</v>
      </c>
      <c r="U23" s="30">
        <f t="shared" si="15"/>
        <v>43544.759375000125</v>
      </c>
      <c r="V23" s="30">
        <f t="shared" si="15"/>
        <v>58221.997343750118</v>
      </c>
      <c r="W23" s="30">
        <f t="shared" si="15"/>
        <v>73633.097210937631</v>
      </c>
      <c r="X23" s="30">
        <f t="shared" si="15"/>
        <v>89814.752071484516</v>
      </c>
      <c r="Y23" s="30">
        <f t="shared" si="15"/>
        <v>106805.48967505876</v>
      </c>
      <c r="Z23" s="30">
        <f t="shared" si="15"/>
        <v>0</v>
      </c>
      <c r="AA23" s="30">
        <f t="shared" si="15"/>
        <v>0</v>
      </c>
      <c r="AB23" s="30">
        <f t="shared" si="15"/>
        <v>0</v>
      </c>
      <c r="AC23" s="30">
        <f t="shared" si="15"/>
        <v>0</v>
      </c>
      <c r="AD23" s="30">
        <f t="shared" si="15"/>
        <v>0</v>
      </c>
      <c r="AE23" s="31">
        <f t="shared" si="15"/>
        <v>0</v>
      </c>
    </row>
    <row r="24" spans="2:31" ht="15.75" thickBot="1" x14ac:dyDescent="0.3">
      <c r="M24" s="58"/>
      <c r="N24" s="51"/>
      <c r="O24" s="32" t="s">
        <v>20</v>
      </c>
      <c r="P24" s="33">
        <f t="shared" ref="P24:AE24" si="16">P23/P6</f>
        <v>-20000</v>
      </c>
      <c r="Q24" s="33">
        <f t="shared" si="16"/>
        <v>-7203.3898305084749</v>
      </c>
      <c r="R24" s="33">
        <f t="shared" si="16"/>
        <v>2567.509336397587</v>
      </c>
      <c r="S24" s="33">
        <f t="shared" si="16"/>
        <v>9892.5340468110589</v>
      </c>
      <c r="T24" s="33">
        <f t="shared" si="16"/>
        <v>15250.039540375205</v>
      </c>
      <c r="U24" s="33">
        <f t="shared" si="16"/>
        <v>19033.815641350218</v>
      </c>
      <c r="V24" s="33">
        <f t="shared" si="16"/>
        <v>21567.264090083441</v>
      </c>
      <c r="W24" s="33">
        <f t="shared" si="16"/>
        <v>23115.272486709368</v>
      </c>
      <c r="X24" s="33">
        <f t="shared" si="16"/>
        <v>23894.151717008288</v>
      </c>
      <c r="Y24" s="33">
        <f t="shared" si="16"/>
        <v>24079.946058889851</v>
      </c>
      <c r="Z24" s="33">
        <f t="shared" si="16"/>
        <v>0</v>
      </c>
      <c r="AA24" s="33">
        <f t="shared" si="16"/>
        <v>0</v>
      </c>
      <c r="AB24" s="33">
        <f t="shared" si="16"/>
        <v>0</v>
      </c>
      <c r="AC24" s="33">
        <f t="shared" si="16"/>
        <v>0</v>
      </c>
      <c r="AD24" s="33">
        <f t="shared" si="16"/>
        <v>0</v>
      </c>
      <c r="AE24" s="34">
        <f t="shared" si="16"/>
        <v>0</v>
      </c>
    </row>
    <row r="25" spans="2:31" x14ac:dyDescent="0.25">
      <c r="M25" s="47" t="s">
        <v>26</v>
      </c>
      <c r="N25" s="21"/>
      <c r="O25" s="17" t="s">
        <v>14</v>
      </c>
      <c r="P25" s="17">
        <v>1</v>
      </c>
      <c r="Q25" s="17">
        <v>2</v>
      </c>
      <c r="R25" s="17">
        <v>3</v>
      </c>
      <c r="S25" s="17">
        <v>4</v>
      </c>
      <c r="T25" s="17">
        <v>5</v>
      </c>
      <c r="U25" s="17">
        <v>6</v>
      </c>
      <c r="V25" s="17">
        <v>7</v>
      </c>
      <c r="W25" s="17">
        <v>8</v>
      </c>
      <c r="X25" s="17">
        <v>9</v>
      </c>
      <c r="Y25" s="17">
        <v>10</v>
      </c>
      <c r="Z25" s="17">
        <v>11</v>
      </c>
      <c r="AA25" s="17">
        <v>12</v>
      </c>
      <c r="AB25" s="17">
        <v>13</v>
      </c>
      <c r="AC25" s="17">
        <v>14</v>
      </c>
      <c r="AD25" s="17">
        <v>15</v>
      </c>
      <c r="AE25" s="18">
        <v>16</v>
      </c>
    </row>
    <row r="26" spans="2:31" x14ac:dyDescent="0.25">
      <c r="M26" s="48"/>
      <c r="N26" s="23">
        <v>6</v>
      </c>
      <c r="O26" s="12" t="s">
        <v>23</v>
      </c>
      <c r="P26" s="13">
        <f t="shared" ref="P26:AE26" si="17">IF(P8&lt;=$N$26,-250000,0)</f>
        <v>-250000</v>
      </c>
      <c r="Q26" s="13">
        <f t="shared" si="17"/>
        <v>-250000</v>
      </c>
      <c r="R26" s="13">
        <f t="shared" si="17"/>
        <v>-250000</v>
      </c>
      <c r="S26" s="13">
        <f t="shared" si="17"/>
        <v>-250000</v>
      </c>
      <c r="T26" s="13">
        <f t="shared" si="17"/>
        <v>-250000</v>
      </c>
      <c r="U26" s="13">
        <f t="shared" si="17"/>
        <v>-250000</v>
      </c>
      <c r="V26" s="13">
        <f t="shared" si="17"/>
        <v>0</v>
      </c>
      <c r="W26" s="13">
        <f t="shared" si="17"/>
        <v>0</v>
      </c>
      <c r="X26" s="13">
        <f t="shared" si="17"/>
        <v>0</v>
      </c>
      <c r="Y26" s="13">
        <f t="shared" si="17"/>
        <v>0</v>
      </c>
      <c r="Z26" s="13">
        <f t="shared" si="17"/>
        <v>0</v>
      </c>
      <c r="AA26" s="13">
        <f t="shared" si="17"/>
        <v>0</v>
      </c>
      <c r="AB26" s="13">
        <f t="shared" si="17"/>
        <v>0</v>
      </c>
      <c r="AC26" s="13">
        <f t="shared" si="17"/>
        <v>0</v>
      </c>
      <c r="AD26" s="13">
        <f t="shared" si="17"/>
        <v>0</v>
      </c>
      <c r="AE26" s="19">
        <f t="shared" si="17"/>
        <v>0</v>
      </c>
    </row>
    <row r="27" spans="2:31" x14ac:dyDescent="0.25">
      <c r="M27" s="48"/>
      <c r="N27" s="22">
        <v>3</v>
      </c>
      <c r="O27" s="12" t="s">
        <v>13</v>
      </c>
      <c r="P27" s="13">
        <f t="shared" ref="P27:AE27" si="18">IF(P8&lt;=LifeOfAsset,IF(P8&lt;=$N$27,0,-1*ConveyerMaintCost*P7),0)</f>
        <v>0</v>
      </c>
      <c r="Q27" s="13">
        <f t="shared" si="18"/>
        <v>0</v>
      </c>
      <c r="R27" s="13">
        <f t="shared" si="18"/>
        <v>0</v>
      </c>
      <c r="S27" s="13">
        <f t="shared" si="18"/>
        <v>-57881.250000000007</v>
      </c>
      <c r="T27" s="13">
        <f t="shared" si="18"/>
        <v>-60775.312500000015</v>
      </c>
      <c r="U27" s="13">
        <f t="shared" si="18"/>
        <v>-63814.078125000015</v>
      </c>
      <c r="V27" s="13">
        <f t="shared" si="18"/>
        <v>-67004.782031250026</v>
      </c>
      <c r="W27" s="13">
        <f t="shared" si="18"/>
        <v>-70355.02113281253</v>
      </c>
      <c r="X27" s="13">
        <f t="shared" si="18"/>
        <v>-73872.772189453157</v>
      </c>
      <c r="Y27" s="13">
        <f t="shared" si="18"/>
        <v>-77566.410798925805</v>
      </c>
      <c r="Z27" s="13">
        <f t="shared" si="18"/>
        <v>0</v>
      </c>
      <c r="AA27" s="13">
        <f t="shared" si="18"/>
        <v>0</v>
      </c>
      <c r="AB27" s="13">
        <f t="shared" si="18"/>
        <v>0</v>
      </c>
      <c r="AC27" s="13">
        <f t="shared" si="18"/>
        <v>0</v>
      </c>
      <c r="AD27" s="13">
        <f t="shared" si="18"/>
        <v>0</v>
      </c>
      <c r="AE27" s="19">
        <f t="shared" si="18"/>
        <v>0</v>
      </c>
    </row>
    <row r="28" spans="2:31" x14ac:dyDescent="0.25">
      <c r="M28" s="48"/>
      <c r="N28" s="22"/>
      <c r="O28" s="12" t="s">
        <v>16</v>
      </c>
      <c r="P28" s="13">
        <f t="shared" ref="P28:AE28" si="19">IF(P$8&gt;LifeOfAsset,0,-1*ConOpsCost*P$7)</f>
        <v>-50000</v>
      </c>
      <c r="Q28" s="13">
        <f t="shared" si="19"/>
        <v>-52500</v>
      </c>
      <c r="R28" s="13">
        <f t="shared" si="19"/>
        <v>-55125</v>
      </c>
      <c r="S28" s="13">
        <f t="shared" si="19"/>
        <v>-57881.250000000007</v>
      </c>
      <c r="T28" s="13">
        <f t="shared" si="19"/>
        <v>-60775.312500000015</v>
      </c>
      <c r="U28" s="13">
        <f t="shared" si="19"/>
        <v>-63814.078125000015</v>
      </c>
      <c r="V28" s="13">
        <f t="shared" si="19"/>
        <v>-67004.782031250026</v>
      </c>
      <c r="W28" s="13">
        <f t="shared" si="19"/>
        <v>-70355.02113281253</v>
      </c>
      <c r="X28" s="13">
        <f t="shared" si="19"/>
        <v>-73872.772189453157</v>
      </c>
      <c r="Y28" s="13">
        <f t="shared" si="19"/>
        <v>-77566.410798925805</v>
      </c>
      <c r="Z28" s="13">
        <f t="shared" si="19"/>
        <v>0</v>
      </c>
      <c r="AA28" s="13">
        <f t="shared" si="19"/>
        <v>0</v>
      </c>
      <c r="AB28" s="13">
        <f t="shared" si="19"/>
        <v>0</v>
      </c>
      <c r="AC28" s="13">
        <f t="shared" si="19"/>
        <v>0</v>
      </c>
      <c r="AD28" s="13">
        <f t="shared" si="19"/>
        <v>0</v>
      </c>
      <c r="AE28" s="19">
        <f t="shared" si="19"/>
        <v>0</v>
      </c>
    </row>
    <row r="29" spans="2:31" x14ac:dyDescent="0.25">
      <c r="M29" s="48"/>
      <c r="N29" s="22"/>
      <c r="O29" s="12" t="s">
        <v>0</v>
      </c>
      <c r="P29" s="13">
        <f t="shared" ref="P29:AE29" si="20">IF(P$8=LifeOfAsset+1,SalvageValue,0)</f>
        <v>0</v>
      </c>
      <c r="Q29" s="13">
        <f t="shared" si="20"/>
        <v>0</v>
      </c>
      <c r="R29" s="13">
        <f t="shared" si="20"/>
        <v>0</v>
      </c>
      <c r="S29" s="13">
        <f t="shared" si="20"/>
        <v>0</v>
      </c>
      <c r="T29" s="13">
        <f t="shared" si="20"/>
        <v>0</v>
      </c>
      <c r="U29" s="13">
        <f t="shared" si="20"/>
        <v>0</v>
      </c>
      <c r="V29" s="13">
        <f t="shared" si="20"/>
        <v>0</v>
      </c>
      <c r="W29" s="13">
        <f t="shared" si="20"/>
        <v>0</v>
      </c>
      <c r="X29" s="13">
        <f t="shared" si="20"/>
        <v>0</v>
      </c>
      <c r="Y29" s="13">
        <f t="shared" si="20"/>
        <v>0</v>
      </c>
      <c r="Z29" s="13">
        <f t="shared" si="20"/>
        <v>150000</v>
      </c>
      <c r="AA29" s="13">
        <f t="shared" si="20"/>
        <v>0</v>
      </c>
      <c r="AB29" s="13">
        <f t="shared" si="20"/>
        <v>0</v>
      </c>
      <c r="AC29" s="13">
        <f t="shared" si="20"/>
        <v>0</v>
      </c>
      <c r="AD29" s="13">
        <f t="shared" si="20"/>
        <v>0</v>
      </c>
      <c r="AE29" s="19">
        <f t="shared" si="20"/>
        <v>0</v>
      </c>
    </row>
    <row r="30" spans="2:31" x14ac:dyDescent="0.25">
      <c r="M30" s="48"/>
      <c r="N30" s="22"/>
      <c r="O30" s="12" t="s">
        <v>17</v>
      </c>
      <c r="P30" s="13">
        <f t="shared" ref="P30:AE30" si="21">IF(P$8&gt;LifeOfAsset,0,WHManpowerCost*P$7*ProductivityImp)</f>
        <v>200000</v>
      </c>
      <c r="Q30" s="13">
        <f t="shared" si="21"/>
        <v>210000</v>
      </c>
      <c r="R30" s="13">
        <f t="shared" si="21"/>
        <v>220500</v>
      </c>
      <c r="S30" s="13">
        <f t="shared" si="21"/>
        <v>231525.00000000006</v>
      </c>
      <c r="T30" s="13">
        <f t="shared" si="21"/>
        <v>243101.25000000006</v>
      </c>
      <c r="U30" s="13">
        <f t="shared" si="21"/>
        <v>255256.31250000012</v>
      </c>
      <c r="V30" s="13">
        <f t="shared" si="21"/>
        <v>268019.1281250001</v>
      </c>
      <c r="W30" s="13">
        <f t="shared" si="21"/>
        <v>281420.08453125012</v>
      </c>
      <c r="X30" s="13">
        <f t="shared" si="21"/>
        <v>295491.08875781263</v>
      </c>
      <c r="Y30" s="13">
        <f t="shared" si="21"/>
        <v>310265.64319570328</v>
      </c>
      <c r="Z30" s="13">
        <f t="shared" si="21"/>
        <v>0</v>
      </c>
      <c r="AA30" s="13">
        <f t="shared" si="21"/>
        <v>0</v>
      </c>
      <c r="AB30" s="13">
        <f t="shared" si="21"/>
        <v>0</v>
      </c>
      <c r="AC30" s="13">
        <f t="shared" si="21"/>
        <v>0</v>
      </c>
      <c r="AD30" s="13">
        <f t="shared" si="21"/>
        <v>0</v>
      </c>
      <c r="AE30" s="19">
        <f t="shared" si="21"/>
        <v>0</v>
      </c>
    </row>
    <row r="31" spans="2:31" x14ac:dyDescent="0.25">
      <c r="M31" s="48"/>
      <c r="N31" s="22"/>
      <c r="O31" s="12" t="s">
        <v>18</v>
      </c>
      <c r="P31" s="13">
        <f t="shared" ref="P31:AE31" si="22">IF(P$8&gt;LifeOfAsset,0,DamageReduction*WHDamages*P$7)</f>
        <v>30000</v>
      </c>
      <c r="Q31" s="13">
        <f t="shared" si="22"/>
        <v>31500</v>
      </c>
      <c r="R31" s="13">
        <f t="shared" si="22"/>
        <v>33075</v>
      </c>
      <c r="S31" s="13">
        <f t="shared" si="22"/>
        <v>34728.750000000007</v>
      </c>
      <c r="T31" s="13">
        <f t="shared" si="22"/>
        <v>36465.187500000007</v>
      </c>
      <c r="U31" s="13">
        <f t="shared" si="22"/>
        <v>38288.446875000009</v>
      </c>
      <c r="V31" s="13">
        <f t="shared" si="22"/>
        <v>40202.869218750013</v>
      </c>
      <c r="W31" s="13">
        <f t="shared" si="22"/>
        <v>42213.012679687512</v>
      </c>
      <c r="X31" s="13">
        <f t="shared" si="22"/>
        <v>44323.663313671888</v>
      </c>
      <c r="Y31" s="13">
        <f t="shared" si="22"/>
        <v>46539.846479355489</v>
      </c>
      <c r="Z31" s="13">
        <f t="shared" si="22"/>
        <v>0</v>
      </c>
      <c r="AA31" s="13">
        <f t="shared" si="22"/>
        <v>0</v>
      </c>
      <c r="AB31" s="13">
        <f t="shared" si="22"/>
        <v>0</v>
      </c>
      <c r="AC31" s="13">
        <f t="shared" si="22"/>
        <v>0</v>
      </c>
      <c r="AD31" s="13">
        <f t="shared" si="22"/>
        <v>0</v>
      </c>
      <c r="AE31" s="19">
        <f t="shared" si="22"/>
        <v>0</v>
      </c>
    </row>
    <row r="32" spans="2:31" x14ac:dyDescent="0.25">
      <c r="M32" s="48"/>
      <c r="N32" s="50">
        <f>SUM(P33:AE33)</f>
        <v>-56295.825642027106</v>
      </c>
      <c r="O32" s="29" t="s">
        <v>19</v>
      </c>
      <c r="P32" s="30">
        <f>SUM(P26:P31)</f>
        <v>-70000</v>
      </c>
      <c r="Q32" s="30">
        <f t="shared" ref="Q32:AE32" si="23">SUM(Q26:Q31)</f>
        <v>-61000</v>
      </c>
      <c r="R32" s="30">
        <f t="shared" si="23"/>
        <v>-51550</v>
      </c>
      <c r="S32" s="30">
        <f t="shared" si="23"/>
        <v>-99508.749999999942</v>
      </c>
      <c r="T32" s="30">
        <f t="shared" si="23"/>
        <v>-91984.187499999942</v>
      </c>
      <c r="U32" s="30">
        <f t="shared" si="23"/>
        <v>-84083.396874999875</v>
      </c>
      <c r="V32" s="30">
        <f t="shared" si="23"/>
        <v>174212.43328125007</v>
      </c>
      <c r="W32" s="30">
        <f t="shared" si="23"/>
        <v>182923.05494531256</v>
      </c>
      <c r="X32" s="30">
        <f t="shared" si="23"/>
        <v>192069.2076925782</v>
      </c>
      <c r="Y32" s="30">
        <f t="shared" si="23"/>
        <v>201672.66807720717</v>
      </c>
      <c r="Z32" s="30">
        <f t="shared" si="23"/>
        <v>150000</v>
      </c>
      <c r="AA32" s="30">
        <f t="shared" si="23"/>
        <v>0</v>
      </c>
      <c r="AB32" s="30">
        <f t="shared" si="23"/>
        <v>0</v>
      </c>
      <c r="AC32" s="30">
        <f t="shared" si="23"/>
        <v>0</v>
      </c>
      <c r="AD32" s="30">
        <f t="shared" si="23"/>
        <v>0</v>
      </c>
      <c r="AE32" s="31">
        <f t="shared" si="23"/>
        <v>0</v>
      </c>
    </row>
    <row r="33" spans="1:31" ht="15.75" thickBot="1" x14ac:dyDescent="0.3">
      <c r="M33" s="49"/>
      <c r="N33" s="51"/>
      <c r="O33" s="32" t="s">
        <v>20</v>
      </c>
      <c r="P33" s="33">
        <f t="shared" ref="P33:AE33" si="24">P32/P6</f>
        <v>-70000</v>
      </c>
      <c r="Q33" s="33">
        <f t="shared" si="24"/>
        <v>-51694.91525423729</v>
      </c>
      <c r="R33" s="33">
        <f t="shared" si="24"/>
        <v>-37022.407354208568</v>
      </c>
      <c r="S33" s="33">
        <f t="shared" si="24"/>
        <v>-60564.097351725315</v>
      </c>
      <c r="T33" s="33">
        <f t="shared" si="24"/>
        <v>-47444.420602390215</v>
      </c>
      <c r="U33" s="33">
        <f t="shared" si="24"/>
        <v>-36753.627706025793</v>
      </c>
      <c r="V33" s="33">
        <f t="shared" si="24"/>
        <v>64533.779804379905</v>
      </c>
      <c r="W33" s="33">
        <f t="shared" si="24"/>
        <v>57424.126097117711</v>
      </c>
      <c r="X33" s="33">
        <f t="shared" si="24"/>
        <v>51097.739323706439</v>
      </c>
      <c r="Y33" s="33">
        <f t="shared" si="24"/>
        <v>45468.327364315075</v>
      </c>
      <c r="Z33" s="33">
        <f t="shared" si="24"/>
        <v>28659.67003704088</v>
      </c>
      <c r="AA33" s="33">
        <f t="shared" si="24"/>
        <v>0</v>
      </c>
      <c r="AB33" s="33">
        <f t="shared" si="24"/>
        <v>0</v>
      </c>
      <c r="AC33" s="33">
        <f t="shared" si="24"/>
        <v>0</v>
      </c>
      <c r="AD33" s="33">
        <f t="shared" si="24"/>
        <v>0</v>
      </c>
      <c r="AE33" s="34">
        <f t="shared" si="24"/>
        <v>0</v>
      </c>
    </row>
    <row r="35" spans="1:31" x14ac:dyDescent="0.25">
      <c r="N35" s="10" t="s">
        <v>35</v>
      </c>
    </row>
    <row r="36" spans="1:31" x14ac:dyDescent="0.25">
      <c r="A36" s="46" t="s">
        <v>39</v>
      </c>
      <c r="B36" s="46"/>
      <c r="C36" s="46"/>
      <c r="D36" s="46"/>
      <c r="E36" s="46"/>
      <c r="F36" s="46"/>
      <c r="G36" s="46"/>
      <c r="N36" s="10" t="s">
        <v>37</v>
      </c>
    </row>
    <row r="37" spans="1:31" x14ac:dyDescent="0.25">
      <c r="A37" s="46"/>
      <c r="B37" s="46"/>
      <c r="C37" s="46"/>
      <c r="D37" s="46"/>
      <c r="E37" s="46"/>
      <c r="F37" s="46"/>
      <c r="G37" s="46"/>
      <c r="N37" s="10" t="s">
        <v>36</v>
      </c>
    </row>
    <row r="38" spans="1:31" x14ac:dyDescent="0.25">
      <c r="A38" s="46"/>
      <c r="B38" s="46"/>
      <c r="C38" s="46"/>
      <c r="D38" s="46"/>
      <c r="E38" s="46"/>
      <c r="F38" s="46"/>
      <c r="G38" s="46"/>
      <c r="N38" s="10" t="s">
        <v>38</v>
      </c>
    </row>
    <row r="39" spans="1:31" x14ac:dyDescent="0.25">
      <c r="A39" s="46"/>
      <c r="B39" s="46"/>
      <c r="C39" s="46"/>
      <c r="D39" s="46"/>
      <c r="E39" s="46"/>
      <c r="F39" s="46"/>
      <c r="G39" s="46"/>
    </row>
    <row r="40" spans="1:31" x14ac:dyDescent="0.25">
      <c r="A40" s="46"/>
      <c r="B40" s="46"/>
      <c r="C40" s="46"/>
      <c r="D40" s="46"/>
      <c r="E40" s="46"/>
      <c r="F40" s="46"/>
      <c r="G40" s="46"/>
    </row>
    <row r="41" spans="1:31" x14ac:dyDescent="0.25">
      <c r="A41" s="46"/>
      <c r="B41" s="46"/>
      <c r="C41" s="46"/>
      <c r="D41" s="46"/>
      <c r="E41" s="46"/>
      <c r="F41" s="46"/>
      <c r="G41" s="46"/>
    </row>
    <row r="42" spans="1:31" x14ac:dyDescent="0.25">
      <c r="A42" s="46"/>
      <c r="B42" s="46"/>
      <c r="C42" s="46"/>
      <c r="D42" s="46"/>
      <c r="E42" s="46"/>
      <c r="F42" s="46"/>
      <c r="G42" s="46"/>
    </row>
    <row r="43" spans="1:31" x14ac:dyDescent="0.25">
      <c r="A43" s="46"/>
      <c r="B43" s="46"/>
      <c r="C43" s="46"/>
      <c r="D43" s="46"/>
      <c r="E43" s="46"/>
      <c r="F43" s="46"/>
      <c r="G43" s="46"/>
    </row>
  </sheetData>
  <mergeCells count="13">
    <mergeCell ref="G3:J3"/>
    <mergeCell ref="A36:G43"/>
    <mergeCell ref="M25:M33"/>
    <mergeCell ref="N15:N16"/>
    <mergeCell ref="N23:N24"/>
    <mergeCell ref="N32:N33"/>
    <mergeCell ref="B5:C5"/>
    <mergeCell ref="B11:C11"/>
    <mergeCell ref="M8:M16"/>
    <mergeCell ref="M17:M24"/>
    <mergeCell ref="H5:I5"/>
    <mergeCell ref="H6:I7"/>
    <mergeCell ref="M5:M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ConOpsCost</vt:lpstr>
      <vt:lpstr>ConveyerMaintCost</vt:lpstr>
      <vt:lpstr>CostOfCapital</vt:lpstr>
      <vt:lpstr>DamageReduction</vt:lpstr>
      <vt:lpstr>Inflation</vt:lpstr>
      <vt:lpstr>LifeOfAsset</vt:lpstr>
      <vt:lpstr>ProductivityImp</vt:lpstr>
      <vt:lpstr>SalvageValue</vt:lpstr>
      <vt:lpstr>WHDamages</vt:lpstr>
      <vt:lpstr>WHManpowerCost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2017-02-20T16:26:20Z</dcterms:modified>
</cp:coreProperties>
</file>